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uela-adm/Courses/cee5614/CEE 5614 Sping 2023/Course Notes/"/>
    </mc:Choice>
  </mc:AlternateContent>
  <xr:revisionPtr revIDLastSave="0" documentId="8_{BD1BCC4A-C3BE-F54D-9133-B14594451296}" xr6:coauthVersionLast="47" xr6:coauthVersionMax="47" xr10:uidLastSave="{00000000-0000-0000-0000-000000000000}"/>
  <bookViews>
    <workbookView xWindow="0" yWindow="500" windowWidth="36560" windowHeight="21280" xr2:uid="{00000000-000D-0000-FFFF-FFFF00000000}"/>
  </bookViews>
  <sheets>
    <sheet name="Problem1" sheetId="1" r:id="rId1"/>
    <sheet name="Problem 2" sheetId="4" r:id="rId2"/>
  </sheets>
  <externalReferences>
    <externalReference r:id="rId3"/>
  </externalReferences>
  <definedNames>
    <definedName name="demand" localSheetId="1">[1]Problem1!$M$27:$R$27</definedName>
    <definedName name="demand">Problem1!$M$27:$R$27</definedName>
    <definedName name="Fare" localSheetId="1">[1]Problem1!$M$28:$R$28</definedName>
    <definedName name="Fare">Problem1!$M$28:$R$28</definedName>
    <definedName name="solver_adj" localSheetId="1" hidden="1">'Problem 2'!$E$10:$E$27</definedName>
    <definedName name="solver_adj" localSheetId="0" hidden="1">Problem1!$C$20:$I$23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1</definedName>
    <definedName name="solver_eng" localSheetId="1" hidden="1">3</definedName>
    <definedName name="solver_eng" localSheetId="0" hidden="1">3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100</definedName>
    <definedName name="solver_lhs1" localSheetId="1" hidden="1">'Problem 2'!$E$10:$E$27</definedName>
    <definedName name="solver_lhs1" localSheetId="0" hidden="1">Problem1!$C$20:$I$23</definedName>
    <definedName name="solver_lhs2" localSheetId="1" hidden="1">'Problem 2'!$P$29:$U$29</definedName>
    <definedName name="solver_lhs2" localSheetId="0" hidden="1">Problem1!$C$31:$H$31</definedName>
    <definedName name="solver_lhs3" localSheetId="0" hidden="1">Problem1!$I$37:$I$40</definedName>
    <definedName name="solver_lhs4" localSheetId="0" hidden="1">Problem1!$I$37:$I$40</definedName>
    <definedName name="solver_lhs5" localSheetId="0" hidden="1">Problem1!$I$37:$I$40</definedName>
    <definedName name="solver_lhs6" localSheetId="0" hidden="1">Problem1!$I$37:$I$40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2</definedName>
    <definedName name="solver_num" localSheetId="0" hidden="1">3</definedName>
    <definedName name="solver_nwt" localSheetId="1" hidden="1">1</definedName>
    <definedName name="solver_nwt" localSheetId="0" hidden="1">1</definedName>
    <definedName name="solver_opt" localSheetId="1" hidden="1">'Problem 2'!$F$29</definedName>
    <definedName name="solver_opt" localSheetId="0" hidden="1">Problem1!$C$5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4</definedName>
    <definedName name="solver_rel1" localSheetId="0" hidden="1">4</definedName>
    <definedName name="solver_rel2" localSheetId="1" hidden="1">2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hs1" localSheetId="1" hidden="1">integer</definedName>
    <definedName name="solver_rhs1" localSheetId="0" hidden="1">"integer"</definedName>
    <definedName name="solver_rhs2" localSheetId="1" hidden="1">'Problem 2'!$P$30:$U$30</definedName>
    <definedName name="solver_rhs2" localSheetId="0" hidden="1">demand</definedName>
    <definedName name="solver_rhs3" localSheetId="0" hidden="1">Problem1!$K$37:$K$40</definedName>
    <definedName name="solver_rhs4" localSheetId="0" hidden="1">Problem1!$K$37:$K$40</definedName>
    <definedName name="solver_rhs5" localSheetId="0" hidden="1">Problem1!$K$37:$K$40</definedName>
    <definedName name="solver_rhs6" localSheetId="0" hidden="1">Problem1!$K$37:$K$40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100</definedName>
    <definedName name="solver_tol" localSheetId="1" hidden="1">0.01</definedName>
    <definedName name="solver_tol" localSheetId="0" hidden="1">0.05</definedName>
    <definedName name="solver_typ" localSheetId="1" hidden="1">2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U27" i="4"/>
  <c r="T27" i="4"/>
  <c r="S27" i="4"/>
  <c r="R27" i="4"/>
  <c r="Q27" i="4"/>
  <c r="P27" i="4"/>
  <c r="F27" i="4"/>
  <c r="U26" i="4"/>
  <c r="T26" i="4"/>
  <c r="S26" i="4"/>
  <c r="R26" i="4"/>
  <c r="Q26" i="4"/>
  <c r="P26" i="4"/>
  <c r="F26" i="4"/>
  <c r="U25" i="4"/>
  <c r="T25" i="4"/>
  <c r="S25" i="4"/>
  <c r="R25" i="4"/>
  <c r="Q25" i="4"/>
  <c r="P25" i="4"/>
  <c r="F25" i="4"/>
  <c r="U24" i="4"/>
  <c r="T24" i="4"/>
  <c r="S24" i="4"/>
  <c r="R24" i="4"/>
  <c r="Q24" i="4"/>
  <c r="P24" i="4"/>
  <c r="F24" i="4"/>
  <c r="U23" i="4"/>
  <c r="T23" i="4"/>
  <c r="S23" i="4"/>
  <c r="R23" i="4"/>
  <c r="Q23" i="4"/>
  <c r="P23" i="4"/>
  <c r="F23" i="4"/>
  <c r="U22" i="4"/>
  <c r="T22" i="4"/>
  <c r="S22" i="4"/>
  <c r="R22" i="4"/>
  <c r="Q22" i="4"/>
  <c r="P22" i="4"/>
  <c r="F22" i="4"/>
  <c r="U21" i="4"/>
  <c r="T21" i="4"/>
  <c r="S21" i="4"/>
  <c r="R21" i="4"/>
  <c r="Q21" i="4"/>
  <c r="P21" i="4"/>
  <c r="F21" i="4"/>
  <c r="U20" i="4"/>
  <c r="T20" i="4"/>
  <c r="S20" i="4"/>
  <c r="R20" i="4"/>
  <c r="Q20" i="4"/>
  <c r="P20" i="4"/>
  <c r="F20" i="4"/>
  <c r="U19" i="4"/>
  <c r="T19" i="4"/>
  <c r="S19" i="4"/>
  <c r="R19" i="4"/>
  <c r="Q19" i="4"/>
  <c r="P19" i="4"/>
  <c r="F19" i="4"/>
  <c r="U18" i="4"/>
  <c r="T18" i="4"/>
  <c r="S18" i="4"/>
  <c r="R18" i="4"/>
  <c r="Q18" i="4"/>
  <c r="P18" i="4"/>
  <c r="F18" i="4"/>
  <c r="U15" i="4"/>
  <c r="T15" i="4"/>
  <c r="S15" i="4"/>
  <c r="R15" i="4"/>
  <c r="Q15" i="4"/>
  <c r="P15" i="4"/>
  <c r="F15" i="4"/>
  <c r="U14" i="4"/>
  <c r="T14" i="4"/>
  <c r="S14" i="4"/>
  <c r="R14" i="4"/>
  <c r="Q14" i="4"/>
  <c r="P14" i="4"/>
  <c r="F14" i="4"/>
  <c r="U13" i="4"/>
  <c r="T13" i="4"/>
  <c r="S13" i="4"/>
  <c r="R13" i="4"/>
  <c r="Q13" i="4"/>
  <c r="P13" i="4"/>
  <c r="F13" i="4"/>
  <c r="U12" i="4"/>
  <c r="T12" i="4"/>
  <c r="S12" i="4"/>
  <c r="R12" i="4"/>
  <c r="Q12" i="4"/>
  <c r="P12" i="4"/>
  <c r="F12" i="4"/>
  <c r="U11" i="4"/>
  <c r="T11" i="4"/>
  <c r="S11" i="4"/>
  <c r="R11" i="4"/>
  <c r="Q11" i="4"/>
  <c r="P11" i="4"/>
  <c r="F11" i="4"/>
  <c r="U10" i="4"/>
  <c r="T10" i="4"/>
  <c r="S10" i="4"/>
  <c r="R10" i="4"/>
  <c r="Q10" i="4"/>
  <c r="P10" i="4"/>
  <c r="F10" i="4"/>
  <c r="C7" i="4"/>
  <c r="D7" i="4" s="1"/>
  <c r="C15" i="4" s="1"/>
  <c r="D15" i="4" s="1"/>
  <c r="C6" i="4"/>
  <c r="D6" i="4" s="1"/>
  <c r="C14" i="4" s="1"/>
  <c r="C5" i="4"/>
  <c r="D5" i="4" s="1"/>
  <c r="C13" i="4" s="1"/>
  <c r="C4" i="4"/>
  <c r="D4" i="4" s="1"/>
  <c r="C12" i="4" s="1"/>
  <c r="C3" i="4"/>
  <c r="D3" i="4" s="1"/>
  <c r="C11" i="4" s="1"/>
  <c r="D11" i="4" s="1"/>
  <c r="C2" i="4"/>
  <c r="D2" i="4" s="1"/>
  <c r="C10" i="4" s="1"/>
  <c r="R29" i="4" l="1"/>
  <c r="P29" i="4"/>
  <c r="T29" i="4"/>
  <c r="Q29" i="4"/>
  <c r="S29" i="4"/>
  <c r="F29" i="4"/>
  <c r="U29" i="4"/>
  <c r="D14" i="4"/>
  <c r="C26" i="4"/>
  <c r="D26" i="4" s="1"/>
  <c r="C27" i="4"/>
  <c r="D27" i="4" s="1"/>
  <c r="C24" i="4"/>
  <c r="D24" i="4" s="1"/>
  <c r="C22" i="4"/>
  <c r="D22" i="4" s="1"/>
  <c r="D12" i="4"/>
  <c r="C20" i="4"/>
  <c r="D20" i="4" s="1"/>
  <c r="C21" i="4"/>
  <c r="D21" i="4" s="1"/>
  <c r="D10" i="4"/>
  <c r="C18" i="4"/>
  <c r="D18" i="4" s="1"/>
  <c r="C19" i="4"/>
  <c r="D19" i="4" s="1"/>
  <c r="C25" i="4"/>
  <c r="D25" i="4" s="1"/>
  <c r="C23" i="4"/>
  <c r="D23" i="4" s="1"/>
  <c r="D13" i="4"/>
  <c r="W10" i="1" l="1"/>
  <c r="V10" i="1"/>
  <c r="U10" i="1"/>
  <c r="T10" i="1"/>
  <c r="M21" i="1" l="1"/>
  <c r="M22" i="1"/>
  <c r="M23" i="1"/>
  <c r="M20" i="1"/>
  <c r="C10" i="1" l="1"/>
  <c r="D30" i="1" l="1"/>
  <c r="E30" i="1"/>
  <c r="F30" i="1"/>
  <c r="G30" i="1"/>
  <c r="H30" i="1"/>
  <c r="D29" i="1"/>
  <c r="E29" i="1"/>
  <c r="F29" i="1"/>
  <c r="G29" i="1"/>
  <c r="H29" i="1"/>
  <c r="D28" i="1"/>
  <c r="E28" i="1"/>
  <c r="F28" i="1"/>
  <c r="G28" i="1"/>
  <c r="H28" i="1"/>
  <c r="D27" i="1"/>
  <c r="E27" i="1"/>
  <c r="F27" i="1"/>
  <c r="G27" i="1"/>
  <c r="H27" i="1"/>
  <c r="C29" i="1"/>
  <c r="C28" i="1"/>
  <c r="C27" i="1"/>
  <c r="C30" i="1"/>
  <c r="C13" i="1" l="1"/>
  <c r="D13" i="1"/>
  <c r="E13" i="1"/>
  <c r="F13" i="1"/>
  <c r="G13" i="1"/>
  <c r="H13" i="1"/>
  <c r="C11" i="1"/>
  <c r="D11" i="1"/>
  <c r="E11" i="1"/>
  <c r="F11" i="1"/>
  <c r="G11" i="1"/>
  <c r="H11" i="1"/>
  <c r="D10" i="1"/>
  <c r="E10" i="1"/>
  <c r="F10" i="1"/>
  <c r="G10" i="1"/>
  <c r="H10" i="1"/>
  <c r="K38" i="1"/>
  <c r="K39" i="1"/>
  <c r="K40" i="1"/>
  <c r="K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D37" i="1"/>
  <c r="E37" i="1"/>
  <c r="F37" i="1"/>
  <c r="G37" i="1"/>
  <c r="H37" i="1"/>
  <c r="C37" i="1"/>
  <c r="G31" i="1" l="1"/>
  <c r="E31" i="1"/>
  <c r="H31" i="1"/>
  <c r="F31" i="1"/>
  <c r="D31" i="1"/>
  <c r="C31" i="1"/>
  <c r="I30" i="1"/>
  <c r="I29" i="1"/>
  <c r="I28" i="1"/>
  <c r="I40" i="1"/>
  <c r="I39" i="1"/>
  <c r="C7" i="1"/>
  <c r="C12" i="1"/>
  <c r="D12" i="1"/>
  <c r="E12" i="1"/>
  <c r="F12" i="1"/>
  <c r="G12" i="1"/>
  <c r="H12" i="1"/>
  <c r="I37" i="1"/>
  <c r="I38" i="1"/>
  <c r="C8" i="1" l="1"/>
  <c r="C5" i="1" s="1"/>
  <c r="I27" i="1"/>
  <c r="I31" i="1" s="1"/>
</calcChain>
</file>

<file path=xl/sharedStrings.xml><?xml version="1.0" encoding="utf-8"?>
<sst xmlns="http://schemas.openxmlformats.org/spreadsheetml/2006/main" count="168" uniqueCount="67">
  <si>
    <t xml:space="preserve">Objective </t>
  </si>
  <si>
    <t>Maximization</t>
  </si>
  <si>
    <t>Revenue - Cost</t>
  </si>
  <si>
    <t>Constraints</t>
  </si>
  <si>
    <t>1(1-2)</t>
  </si>
  <si>
    <t>2(2-1)</t>
  </si>
  <si>
    <t>3(2-3)</t>
  </si>
  <si>
    <t>4(3-2)</t>
  </si>
  <si>
    <t>5(2-4)</t>
  </si>
  <si>
    <t>6(4-2)</t>
  </si>
  <si>
    <t>vk(Block Speed)</t>
  </si>
  <si>
    <t>Uk(Util)</t>
  </si>
  <si>
    <t>Sum</t>
  </si>
  <si>
    <t>Load Factor</t>
  </si>
  <si>
    <t>Nijk</t>
  </si>
  <si>
    <t>Ak</t>
  </si>
  <si>
    <t>&lt;=</t>
  </si>
  <si>
    <t>Revene</t>
  </si>
  <si>
    <t>Cost</t>
  </si>
  <si>
    <t>Air Line Optimization</t>
  </si>
  <si>
    <t>1) Demand Fulfillment</t>
  </si>
  <si>
    <t>2) Aircraft Availability</t>
  </si>
  <si>
    <t>Nijk_Seat</t>
  </si>
  <si>
    <t>nk(Seat Capa.)</t>
  </si>
  <si>
    <t>Fare($/seat)</t>
  </si>
  <si>
    <t>demand (pax/day)</t>
  </si>
  <si>
    <t>Distance (nm)</t>
  </si>
  <si>
    <t>Aircraft Charateristics</t>
  </si>
  <si>
    <t>Total Uk</t>
  </si>
  <si>
    <t>i - j</t>
  </si>
  <si>
    <t>ck(Op. Cost)</t>
  </si>
  <si>
    <t>Demand, Fare, and Distance</t>
  </si>
  <si>
    <t>k=2 (A_E190)</t>
  </si>
  <si>
    <t>K=1 (A_CRJ7)</t>
  </si>
  <si>
    <t>K= 3 (A_CRJ2)</t>
  </si>
  <si>
    <t>k=4 (A_E145)</t>
  </si>
  <si>
    <t>CRJ7</t>
  </si>
  <si>
    <t>E190</t>
  </si>
  <si>
    <t>CRJ2</t>
  </si>
  <si>
    <t>E145</t>
  </si>
  <si>
    <t>Aicraft</t>
  </si>
  <si>
    <t>cost per seat</t>
  </si>
  <si>
    <t>Distance</t>
  </si>
  <si>
    <t>Block Speed</t>
  </si>
  <si>
    <t>Block Time (hrs)</t>
  </si>
  <si>
    <t>Number of Flights</t>
  </si>
  <si>
    <t>Single Flight Rotations</t>
  </si>
  <si>
    <t>cost</t>
  </si>
  <si>
    <t>Flight Time</t>
  </si>
  <si>
    <t>Duty Time</t>
  </si>
  <si>
    <t>Decision vars</t>
  </si>
  <si>
    <t>Total Cost</t>
  </si>
  <si>
    <t>Flights</t>
  </si>
  <si>
    <t>2 Flight Rotation</t>
  </si>
  <si>
    <t>(1-2)(2-1)</t>
  </si>
  <si>
    <t>(1-2)(2-3)</t>
  </si>
  <si>
    <t>(1-2)(2-4)</t>
  </si>
  <si>
    <t>(2-1)(1-2)</t>
  </si>
  <si>
    <t>(2-3)(3-2)</t>
  </si>
  <si>
    <t>(3-2)(2-1)</t>
  </si>
  <si>
    <t>(3-2)(2-3)</t>
  </si>
  <si>
    <t>(3-2)(2-4)</t>
  </si>
  <si>
    <t>(2-4)(4-2)</t>
  </si>
  <si>
    <t>(4-2)(2-4)</t>
  </si>
  <si>
    <t>Flight Totals</t>
  </si>
  <si>
    <t>Requirement</t>
  </si>
  <si>
    <t>Number of Crews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</si>
</sst>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  <numFmt numFmtId="167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5" fillId="3" borderId="1" xfId="0" applyFont="1" applyFill="1" applyBorder="1"/>
    <xf numFmtId="165" fontId="0" fillId="0" borderId="1" xfId="0" applyNumberFormat="1" applyBorder="1"/>
    <xf numFmtId="164" fontId="0" fillId="0" borderId="0" xfId="0" applyNumberFormat="1"/>
    <xf numFmtId="166" fontId="0" fillId="0" borderId="0" xfId="1" applyNumberFormat="1" applyFont="1"/>
    <xf numFmtId="166" fontId="4" fillId="3" borderId="0" xfId="1" applyNumberFormat="1" applyFont="1" applyFill="1"/>
    <xf numFmtId="0" fontId="4" fillId="0" borderId="1" xfId="0" applyFont="1" applyBorder="1" applyAlignment="1">
      <alignment horizontal="center"/>
    </xf>
    <xf numFmtId="165" fontId="0" fillId="0" borderId="0" xfId="0" applyNumberFormat="1"/>
    <xf numFmtId="164" fontId="0" fillId="2" borderId="1" xfId="0" applyNumberFormat="1" applyFill="1" applyBorder="1" applyAlignment="1">
      <alignment horizontal="center"/>
    </xf>
    <xf numFmtId="2" fontId="4" fillId="3" borderId="1" xfId="0" applyNumberFormat="1" applyFont="1" applyFill="1" applyBorder="1"/>
    <xf numFmtId="3" fontId="0" fillId="0" borderId="1" xfId="0" applyNumberFormat="1" applyBorder="1"/>
    <xf numFmtId="165" fontId="0" fillId="5" borderId="1" xfId="0" applyNumberFormat="1" applyFill="1" applyBorder="1"/>
    <xf numFmtId="2" fontId="0" fillId="5" borderId="1" xfId="0" applyNumberFormat="1" applyFill="1" applyBorder="1"/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7" fillId="0" borderId="0" xfId="0" applyFont="1"/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7" fontId="0" fillId="0" borderId="7" xfId="2" applyNumberFormat="1" applyFont="1" applyBorder="1"/>
    <xf numFmtId="167" fontId="0" fillId="0" borderId="8" xfId="2" applyNumberFormat="1" applyFont="1" applyBorder="1"/>
    <xf numFmtId="167" fontId="0" fillId="0" borderId="9" xfId="2" applyNumberFormat="1" applyFont="1" applyBorder="1"/>
    <xf numFmtId="0" fontId="9" fillId="0" borderId="5" xfId="0" applyFont="1" applyBorder="1"/>
    <xf numFmtId="0" fontId="9" fillId="0" borderId="1" xfId="0" applyFont="1" applyBorder="1"/>
    <xf numFmtId="0" fontId="9" fillId="0" borderId="6" xfId="0" applyFont="1" applyBorder="1"/>
    <xf numFmtId="0" fontId="5" fillId="3" borderId="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4" xfId="2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/>
    <xf numFmtId="0" fontId="4" fillId="0" borderId="0" xfId="0" applyFont="1"/>
    <xf numFmtId="0" fontId="0" fillId="0" borderId="0" xfId="0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ka/Desktop/final%20project%20optimization%20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1"/>
      <sheetName val="Problem 2"/>
    </sheetNames>
    <sheetDataSet>
      <sheetData sheetId="0">
        <row r="21">
          <cell r="M21">
            <v>294.87</v>
          </cell>
        </row>
        <row r="27">
          <cell r="M27">
            <v>450</v>
          </cell>
          <cell r="N27">
            <v>600</v>
          </cell>
          <cell r="O27">
            <v>450</v>
          </cell>
          <cell r="P27">
            <v>500</v>
          </cell>
          <cell r="Q27">
            <v>760</v>
          </cell>
          <cell r="R27">
            <v>700</v>
          </cell>
        </row>
        <row r="28">
          <cell r="M28">
            <v>175</v>
          </cell>
          <cell r="N28">
            <v>175</v>
          </cell>
          <cell r="O28">
            <v>230</v>
          </cell>
          <cell r="P28">
            <v>230</v>
          </cell>
          <cell r="Q28">
            <v>200</v>
          </cell>
          <cell r="R28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zoomScale="155" zoomScaleNormal="155" workbookViewId="0">
      <selection activeCell="M44" sqref="M44"/>
    </sheetView>
  </sheetViews>
  <sheetFormatPr baseColWidth="10" defaultColWidth="8.6640625" defaultRowHeight="15" x14ac:dyDescent="0.2"/>
  <cols>
    <col min="1" max="1" width="7.33203125" customWidth="1"/>
    <col min="2" max="2" width="17.5" customWidth="1"/>
    <col min="3" max="3" width="12.5" customWidth="1"/>
    <col min="4" max="5" width="8" bestFit="1" customWidth="1"/>
    <col min="6" max="6" width="8" customWidth="1"/>
    <col min="7" max="8" width="8" bestFit="1" customWidth="1"/>
    <col min="9" max="9" width="8.83203125" customWidth="1"/>
    <col min="10" max="10" width="4.83203125" customWidth="1"/>
    <col min="11" max="11" width="8.6640625" customWidth="1"/>
    <col min="12" max="12" width="17.1640625" customWidth="1"/>
    <col min="13" max="13" width="16.5" bestFit="1" customWidth="1"/>
    <col min="14" max="14" width="12" customWidth="1"/>
    <col min="15" max="15" width="11.1640625" customWidth="1"/>
    <col min="16" max="16" width="12" customWidth="1"/>
  </cols>
  <sheetData>
    <row r="1" spans="1:23" ht="19" x14ac:dyDescent="0.25">
      <c r="A1" s="50" t="s">
        <v>19</v>
      </c>
      <c r="B1" s="51"/>
    </row>
    <row r="2" spans="1:23" ht="19" x14ac:dyDescent="0.25">
      <c r="A2" s="3"/>
    </row>
    <row r="3" spans="1:23" x14ac:dyDescent="0.2">
      <c r="V3" t="s">
        <v>40</v>
      </c>
    </row>
    <row r="4" spans="1:23" ht="19" x14ac:dyDescent="0.25">
      <c r="A4" s="3" t="s">
        <v>0</v>
      </c>
      <c r="B4" s="3" t="s">
        <v>1</v>
      </c>
    </row>
    <row r="5" spans="1:23" ht="19" x14ac:dyDescent="0.25">
      <c r="B5" s="3" t="s">
        <v>2</v>
      </c>
      <c r="C5" s="14">
        <f>C7-C8</f>
        <v>429624.58497883898</v>
      </c>
    </row>
    <row r="7" spans="1:23" ht="16" thickBot="1" x14ac:dyDescent="0.25">
      <c r="B7" t="s">
        <v>17</v>
      </c>
      <c r="C7" s="13">
        <f>SUMPRODUCT(demand,Fare)</f>
        <v>694250</v>
      </c>
    </row>
    <row r="8" spans="1:23" x14ac:dyDescent="0.2">
      <c r="B8" t="s">
        <v>18</v>
      </c>
      <c r="C8" s="13">
        <f>SUM(C10:H13)</f>
        <v>264625.41502116102</v>
      </c>
      <c r="T8" s="52" t="s">
        <v>41</v>
      </c>
      <c r="U8" s="53"/>
      <c r="V8" s="53"/>
      <c r="W8" s="54"/>
    </row>
    <row r="9" spans="1:23" x14ac:dyDescent="0.2">
      <c r="B9" s="6" t="s">
        <v>29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T9" s="40" t="s">
        <v>36</v>
      </c>
      <c r="U9" s="41" t="s">
        <v>37</v>
      </c>
      <c r="V9" s="41" t="s">
        <v>38</v>
      </c>
      <c r="W9" s="42" t="s">
        <v>39</v>
      </c>
    </row>
    <row r="10" spans="1:23" ht="16" thickBot="1" x14ac:dyDescent="0.25">
      <c r="B10" s="9" t="s">
        <v>33</v>
      </c>
      <c r="C10" s="19">
        <f>C20*(M$29/$M20)*$N20</f>
        <v>3629.9460431654679</v>
      </c>
      <c r="D10" s="19">
        <f t="shared" ref="D10:D11" si="0">D20*(N$29/$M20)*$N20</f>
        <v>3629.9460431654679</v>
      </c>
      <c r="E10" s="19">
        <f t="shared" ref="E10:E11" si="1">E20*(O$29/$M20)*$N20</f>
        <v>5235.4991007194249</v>
      </c>
      <c r="F10" s="19">
        <f t="shared" ref="F10:F11" si="2">F20*(P$29/$M20)*$N20</f>
        <v>0</v>
      </c>
      <c r="G10" s="19">
        <f t="shared" ref="G10:G11" si="3">G20*(Q$29/$M20)*$N20</f>
        <v>0</v>
      </c>
      <c r="H10" s="19">
        <f t="shared" ref="H10:H11" si="4">H20*(R$29/$M20)*$N20</f>
        <v>0</v>
      </c>
      <c r="T10" s="37">
        <f>3105/72</f>
        <v>43.125</v>
      </c>
      <c r="U10" s="38">
        <f>3410/86</f>
        <v>39.651162790697676</v>
      </c>
      <c r="V10" s="38">
        <f>2820/48</f>
        <v>58.75</v>
      </c>
      <c r="W10" s="39">
        <f>2540/45</f>
        <v>56.444444444444443</v>
      </c>
    </row>
    <row r="11" spans="1:23" x14ac:dyDescent="0.2">
      <c r="B11" s="9" t="s">
        <v>32</v>
      </c>
      <c r="C11" s="19">
        <f t="shared" ref="C11" si="5">C21*(M$29/$M21)*$N21</f>
        <v>25019.283228294611</v>
      </c>
      <c r="D11" s="19">
        <f t="shared" si="0"/>
        <v>33359.044304392817</v>
      </c>
      <c r="E11" s="19">
        <f t="shared" si="1"/>
        <v>36085.504656194149</v>
      </c>
      <c r="F11" s="19">
        <f t="shared" si="2"/>
        <v>42099.755432226506</v>
      </c>
      <c r="G11" s="19">
        <f t="shared" si="3"/>
        <v>54689.587056720913</v>
      </c>
      <c r="H11" s="19">
        <f t="shared" si="4"/>
        <v>49717.80641520083</v>
      </c>
    </row>
    <row r="12" spans="1:23" x14ac:dyDescent="0.2">
      <c r="B12" s="9" t="s">
        <v>34</v>
      </c>
      <c r="C12" s="19">
        <f t="shared" ref="C12:H13" si="6">C22*(M$29/$M22)*$N22</f>
        <v>0</v>
      </c>
      <c r="D12" s="19">
        <f t="shared" si="6"/>
        <v>0</v>
      </c>
      <c r="E12" s="19">
        <f t="shared" si="6"/>
        <v>0</v>
      </c>
      <c r="F12" s="19">
        <f t="shared" si="6"/>
        <v>0</v>
      </c>
      <c r="G12" s="19">
        <f t="shared" si="6"/>
        <v>0</v>
      </c>
      <c r="H12" s="19">
        <f t="shared" si="6"/>
        <v>0</v>
      </c>
    </row>
    <row r="13" spans="1:23" x14ac:dyDescent="0.2">
      <c r="B13" s="9" t="s">
        <v>35</v>
      </c>
      <c r="C13" s="19">
        <f t="shared" si="6"/>
        <v>0</v>
      </c>
      <c r="D13" s="19">
        <f t="shared" si="6"/>
        <v>0</v>
      </c>
      <c r="E13" s="19">
        <f t="shared" si="6"/>
        <v>0</v>
      </c>
      <c r="F13" s="19">
        <f t="shared" si="6"/>
        <v>4205.6693747792306</v>
      </c>
      <c r="G13" s="19">
        <f t="shared" si="6"/>
        <v>3476.68668315083</v>
      </c>
      <c r="H13" s="19">
        <f t="shared" si="6"/>
        <v>3476.68668315083</v>
      </c>
    </row>
    <row r="15" spans="1:23" ht="19" x14ac:dyDescent="0.25">
      <c r="A15" s="50" t="s">
        <v>3</v>
      </c>
      <c r="B15" s="51"/>
    </row>
    <row r="16" spans="1:23" x14ac:dyDescent="0.2">
      <c r="A16" s="2"/>
    </row>
    <row r="17" spans="1:20" ht="17" thickBot="1" x14ac:dyDescent="0.25">
      <c r="A17" s="49" t="s">
        <v>20</v>
      </c>
      <c r="B17" s="49"/>
    </row>
    <row r="18" spans="1:20" ht="16" x14ac:dyDescent="0.2">
      <c r="B18" s="1" t="s">
        <v>14</v>
      </c>
      <c r="I18" s="1" t="s">
        <v>15</v>
      </c>
      <c r="K18" s="25"/>
      <c r="L18" s="26" t="s">
        <v>27</v>
      </c>
      <c r="M18" s="27"/>
      <c r="N18" s="27"/>
      <c r="O18" s="27"/>
      <c r="P18" s="28"/>
    </row>
    <row r="19" spans="1:20" ht="19" x14ac:dyDescent="0.25">
      <c r="B19" s="6" t="s">
        <v>29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15" t="s">
        <v>15</v>
      </c>
      <c r="K19" s="29"/>
      <c r="L19" s="7" t="s">
        <v>23</v>
      </c>
      <c r="M19" s="7" t="s">
        <v>10</v>
      </c>
      <c r="N19" s="7" t="s">
        <v>30</v>
      </c>
      <c r="O19" s="7" t="s">
        <v>11</v>
      </c>
      <c r="P19" s="30" t="s">
        <v>13</v>
      </c>
    </row>
    <row r="20" spans="1:20" ht="19" x14ac:dyDescent="0.25">
      <c r="B20" s="9" t="s">
        <v>33</v>
      </c>
      <c r="C20" s="10">
        <v>1</v>
      </c>
      <c r="D20" s="10">
        <v>1</v>
      </c>
      <c r="E20" s="10">
        <v>1</v>
      </c>
      <c r="F20" s="10">
        <v>0</v>
      </c>
      <c r="G20" s="10">
        <v>0</v>
      </c>
      <c r="H20" s="10">
        <v>0</v>
      </c>
      <c r="I20" s="18">
        <v>1</v>
      </c>
      <c r="K20" s="29" t="s">
        <v>36</v>
      </c>
      <c r="L20" s="7">
        <v>72</v>
      </c>
      <c r="M20" s="23">
        <f>R20</f>
        <v>222.4</v>
      </c>
      <c r="N20" s="7">
        <v>3105</v>
      </c>
      <c r="O20" s="17">
        <v>13</v>
      </c>
      <c r="P20" s="31">
        <v>0.8</v>
      </c>
      <c r="R20">
        <v>222.4</v>
      </c>
      <c r="S20" s="24"/>
      <c r="T20" s="23"/>
    </row>
    <row r="21" spans="1:20" ht="19" x14ac:dyDescent="0.25">
      <c r="B21" s="9" t="s">
        <v>32</v>
      </c>
      <c r="C21" s="10">
        <v>6</v>
      </c>
      <c r="D21" s="10">
        <v>8</v>
      </c>
      <c r="E21" s="10">
        <v>6</v>
      </c>
      <c r="F21" s="10">
        <v>7</v>
      </c>
      <c r="G21" s="10">
        <v>11</v>
      </c>
      <c r="H21" s="10">
        <v>10</v>
      </c>
      <c r="I21" s="18">
        <v>5.9999999999999991</v>
      </c>
      <c r="K21" s="29" t="s">
        <v>37</v>
      </c>
      <c r="L21" s="7">
        <v>86</v>
      </c>
      <c r="M21" s="23">
        <f t="shared" ref="M21:M23" si="7">R21</f>
        <v>212.62</v>
      </c>
      <c r="N21" s="7">
        <v>3410</v>
      </c>
      <c r="O21" s="17">
        <v>13</v>
      </c>
      <c r="P21" s="31">
        <v>0.8</v>
      </c>
      <c r="R21">
        <v>212.62</v>
      </c>
      <c r="T21" s="7"/>
    </row>
    <row r="22" spans="1:20" ht="19" x14ac:dyDescent="0.25">
      <c r="B22" s="9" t="s">
        <v>34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8">
        <v>0</v>
      </c>
      <c r="K22" s="29" t="s">
        <v>38</v>
      </c>
      <c r="L22" s="7">
        <v>48</v>
      </c>
      <c r="M22" s="23">
        <f t="shared" si="7"/>
        <v>213.3</v>
      </c>
      <c r="N22" s="7">
        <v>2820</v>
      </c>
      <c r="O22" s="17">
        <v>13</v>
      </c>
      <c r="P22" s="31">
        <v>0.8</v>
      </c>
      <c r="R22">
        <v>213.3</v>
      </c>
      <c r="T22" s="7"/>
    </row>
    <row r="23" spans="1:20" ht="20" thickBot="1" x14ac:dyDescent="0.3">
      <c r="B23" s="9" t="s">
        <v>35</v>
      </c>
      <c r="C23" s="10">
        <v>0</v>
      </c>
      <c r="D23" s="10">
        <v>0</v>
      </c>
      <c r="E23" s="10">
        <v>0</v>
      </c>
      <c r="F23" s="10">
        <v>1</v>
      </c>
      <c r="G23" s="10">
        <v>1</v>
      </c>
      <c r="H23" s="10">
        <v>1</v>
      </c>
      <c r="I23" s="18">
        <v>1</v>
      </c>
      <c r="K23" s="32" t="s">
        <v>39</v>
      </c>
      <c r="L23" s="33">
        <v>45</v>
      </c>
      <c r="M23" s="34">
        <f t="shared" si="7"/>
        <v>226.48</v>
      </c>
      <c r="N23" s="33">
        <v>2540</v>
      </c>
      <c r="O23" s="35">
        <v>13</v>
      </c>
      <c r="P23" s="36">
        <v>0.8</v>
      </c>
      <c r="R23">
        <v>226.48</v>
      </c>
      <c r="T23" s="7"/>
    </row>
    <row r="24" spans="1:20" ht="16" x14ac:dyDescent="0.2">
      <c r="C24" s="4"/>
      <c r="D24" s="4"/>
      <c r="E24" s="4"/>
      <c r="F24" s="4"/>
      <c r="G24" s="4"/>
      <c r="H24" s="4"/>
      <c r="O24" s="12"/>
      <c r="P24" s="12"/>
    </row>
    <row r="25" spans="1:20" ht="16" x14ac:dyDescent="0.2">
      <c r="B25" s="1" t="s">
        <v>22</v>
      </c>
      <c r="L25" s="4" t="s">
        <v>31</v>
      </c>
    </row>
    <row r="26" spans="1:20" x14ac:dyDescent="0.2">
      <c r="B26" s="6" t="s">
        <v>29</v>
      </c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12</v>
      </c>
      <c r="L26" s="7" t="s">
        <v>29</v>
      </c>
      <c r="M26" s="7" t="s">
        <v>4</v>
      </c>
      <c r="N26" s="7" t="s">
        <v>5</v>
      </c>
      <c r="O26" s="7" t="s">
        <v>6</v>
      </c>
      <c r="P26" s="7" t="s">
        <v>7</v>
      </c>
      <c r="Q26" s="7" t="s">
        <v>8</v>
      </c>
      <c r="R26" s="7" t="s">
        <v>9</v>
      </c>
    </row>
    <row r="27" spans="1:20" x14ac:dyDescent="0.2">
      <c r="B27" s="9" t="s">
        <v>33</v>
      </c>
      <c r="C27" s="9">
        <f>C20*$L$20*$P$20</f>
        <v>57.6</v>
      </c>
      <c r="D27" s="9">
        <f t="shared" ref="D27:H27" si="8">D20*$L$20*$P$20</f>
        <v>57.6</v>
      </c>
      <c r="E27" s="9">
        <f t="shared" si="8"/>
        <v>57.6</v>
      </c>
      <c r="F27" s="9">
        <f t="shared" si="8"/>
        <v>0</v>
      </c>
      <c r="G27" s="9">
        <f t="shared" si="8"/>
        <v>0</v>
      </c>
      <c r="H27" s="9">
        <f t="shared" si="8"/>
        <v>0</v>
      </c>
      <c r="I27" s="9">
        <f>SUM(C27:H27)</f>
        <v>172.8</v>
      </c>
      <c r="L27" s="8" t="s">
        <v>25</v>
      </c>
      <c r="M27" s="22">
        <v>450</v>
      </c>
      <c r="N27" s="22">
        <v>600</v>
      </c>
      <c r="O27" s="22">
        <v>450</v>
      </c>
      <c r="P27" s="22">
        <v>500</v>
      </c>
      <c r="Q27" s="22">
        <v>760</v>
      </c>
      <c r="R27" s="22">
        <v>700</v>
      </c>
    </row>
    <row r="28" spans="1:20" x14ac:dyDescent="0.2">
      <c r="B28" s="9" t="s">
        <v>32</v>
      </c>
      <c r="C28" s="9">
        <f>C21*$L$21*$P$21</f>
        <v>412.8</v>
      </c>
      <c r="D28" s="9">
        <f t="shared" ref="D28:H28" si="9">D21*$L$21*$P$21</f>
        <v>550.4</v>
      </c>
      <c r="E28" s="9">
        <f t="shared" si="9"/>
        <v>412.8</v>
      </c>
      <c r="F28" s="9">
        <f t="shared" si="9"/>
        <v>481.6</v>
      </c>
      <c r="G28" s="9">
        <f t="shared" si="9"/>
        <v>756.80000000000007</v>
      </c>
      <c r="H28" s="9">
        <f t="shared" si="9"/>
        <v>688</v>
      </c>
      <c r="I28" s="9">
        <f t="shared" ref="I28:I30" si="10">SUM(C28:H28)</f>
        <v>3302.4</v>
      </c>
      <c r="L28" s="8" t="s">
        <v>24</v>
      </c>
      <c r="M28" s="7">
        <v>175</v>
      </c>
      <c r="N28" s="7">
        <v>175</v>
      </c>
      <c r="O28" s="7">
        <v>230</v>
      </c>
      <c r="P28" s="7">
        <v>230</v>
      </c>
      <c r="Q28" s="7">
        <v>200</v>
      </c>
      <c r="R28" s="7">
        <v>200</v>
      </c>
    </row>
    <row r="29" spans="1:20" x14ac:dyDescent="0.2">
      <c r="B29" s="9" t="s">
        <v>34</v>
      </c>
      <c r="C29" s="9">
        <f>C22*$L$22*$P$22</f>
        <v>0</v>
      </c>
      <c r="D29" s="9">
        <f t="shared" ref="D29:H29" si="11">D22*$L$22*$P$22</f>
        <v>0</v>
      </c>
      <c r="E29" s="9">
        <f t="shared" si="11"/>
        <v>0</v>
      </c>
      <c r="F29" s="9">
        <f t="shared" si="11"/>
        <v>0</v>
      </c>
      <c r="G29" s="9">
        <f t="shared" si="11"/>
        <v>0</v>
      </c>
      <c r="H29" s="9">
        <f t="shared" si="11"/>
        <v>0</v>
      </c>
      <c r="I29" s="9">
        <f t="shared" si="10"/>
        <v>0</v>
      </c>
      <c r="L29" s="8" t="s">
        <v>26</v>
      </c>
      <c r="M29" s="7">
        <v>260</v>
      </c>
      <c r="N29" s="7">
        <v>260</v>
      </c>
      <c r="O29" s="7">
        <v>375</v>
      </c>
      <c r="P29" s="7">
        <v>375</v>
      </c>
      <c r="Q29" s="7">
        <v>310</v>
      </c>
      <c r="R29" s="7">
        <v>310</v>
      </c>
    </row>
    <row r="30" spans="1:20" x14ac:dyDescent="0.2">
      <c r="B30" s="9" t="s">
        <v>35</v>
      </c>
      <c r="C30" s="9">
        <f>C23*$L$23*$P$23</f>
        <v>0</v>
      </c>
      <c r="D30" s="9">
        <f t="shared" ref="D30:H30" si="12">D23*$L$23*$P$23</f>
        <v>0</v>
      </c>
      <c r="E30" s="9">
        <f t="shared" si="12"/>
        <v>0</v>
      </c>
      <c r="F30" s="9">
        <f t="shared" si="12"/>
        <v>36</v>
      </c>
      <c r="G30" s="9">
        <f t="shared" si="12"/>
        <v>36</v>
      </c>
      <c r="H30" s="9">
        <f t="shared" si="12"/>
        <v>36</v>
      </c>
      <c r="I30" s="9">
        <f t="shared" si="10"/>
        <v>108</v>
      </c>
    </row>
    <row r="31" spans="1:20" x14ac:dyDescent="0.2">
      <c r="B31" s="6" t="s">
        <v>12</v>
      </c>
      <c r="C31" s="22">
        <f>SUM(C27:C30)</f>
        <v>470.40000000000003</v>
      </c>
      <c r="D31" s="22">
        <f t="shared" ref="D31:I31" si="13">SUM(D27:D30)</f>
        <v>608</v>
      </c>
      <c r="E31" s="22">
        <f t="shared" si="13"/>
        <v>470.40000000000003</v>
      </c>
      <c r="F31" s="22">
        <f t="shared" si="13"/>
        <v>517.6</v>
      </c>
      <c r="G31" s="22">
        <f t="shared" si="13"/>
        <v>792.80000000000007</v>
      </c>
      <c r="H31" s="22">
        <f t="shared" si="13"/>
        <v>724</v>
      </c>
      <c r="I31" s="22">
        <f t="shared" si="13"/>
        <v>3583.2000000000003</v>
      </c>
    </row>
    <row r="35" spans="1:11" ht="16" x14ac:dyDescent="0.2">
      <c r="A35" s="49" t="s">
        <v>21</v>
      </c>
      <c r="B35" s="49"/>
    </row>
    <row r="36" spans="1:11" x14ac:dyDescent="0.2">
      <c r="B36" s="6" t="s">
        <v>29</v>
      </c>
      <c r="C36" s="6" t="s">
        <v>4</v>
      </c>
      <c r="D36" s="6" t="s">
        <v>5</v>
      </c>
      <c r="E36" s="6" t="s">
        <v>6</v>
      </c>
      <c r="F36" s="6" t="s">
        <v>7</v>
      </c>
      <c r="G36" s="6" t="s">
        <v>8</v>
      </c>
      <c r="H36" s="6" t="s">
        <v>9</v>
      </c>
      <c r="I36" s="6" t="s">
        <v>12</v>
      </c>
      <c r="K36" s="9" t="s">
        <v>28</v>
      </c>
    </row>
    <row r="37" spans="1:11" x14ac:dyDescent="0.2">
      <c r="B37" s="9" t="s">
        <v>33</v>
      </c>
      <c r="C37" s="11">
        <f>(M$29/$M20)*C20</f>
        <v>1.1690647482014389</v>
      </c>
      <c r="D37" s="11">
        <f t="shared" ref="D37:H37" si="14">(N$29/$M20)*D20</f>
        <v>1.1690647482014389</v>
      </c>
      <c r="E37" s="11">
        <f t="shared" si="14"/>
        <v>1.6861510791366907</v>
      </c>
      <c r="F37" s="11">
        <f t="shared" si="14"/>
        <v>0</v>
      </c>
      <c r="G37" s="11">
        <f t="shared" si="14"/>
        <v>0</v>
      </c>
      <c r="H37" s="11">
        <f t="shared" si="14"/>
        <v>0</v>
      </c>
      <c r="I37" s="20">
        <f>SUM(C37:H37)</f>
        <v>4.024280575539569</v>
      </c>
      <c r="J37" s="5" t="s">
        <v>16</v>
      </c>
      <c r="K37" s="21">
        <f>I20*O20</f>
        <v>13</v>
      </c>
    </row>
    <row r="38" spans="1:11" x14ac:dyDescent="0.2">
      <c r="B38" s="9" t="s">
        <v>32</v>
      </c>
      <c r="C38" s="11">
        <f t="shared" ref="C38:C40" si="15">(M$29/$M21)*C21</f>
        <v>7.3370332047784785</v>
      </c>
      <c r="D38" s="11">
        <f t="shared" ref="D38:D40" si="16">(N$29/$M21)*D21</f>
        <v>9.7827109397046375</v>
      </c>
      <c r="E38" s="11">
        <f t="shared" ref="E38:E40" si="17">(O$29/$M21)*E21</f>
        <v>10.582259429968959</v>
      </c>
      <c r="F38" s="11">
        <f t="shared" ref="F38:F40" si="18">(P$29/$M21)*F21</f>
        <v>12.345969334963785</v>
      </c>
      <c r="G38" s="11">
        <f t="shared" ref="G38:G40" si="19">(Q$29/$M21)*G21</f>
        <v>16.038002069419623</v>
      </c>
      <c r="H38" s="11">
        <f t="shared" ref="H38:H40" si="20">(R$29/$M21)*H21</f>
        <v>14.580001881290565</v>
      </c>
      <c r="I38" s="20">
        <f>SUM(C38:H38)</f>
        <v>70.665976860126051</v>
      </c>
      <c r="J38" s="5" t="s">
        <v>16</v>
      </c>
      <c r="K38" s="21">
        <f t="shared" ref="K38:K40" si="21">I21*O21</f>
        <v>77.999999999999986</v>
      </c>
    </row>
    <row r="39" spans="1:11" x14ac:dyDescent="0.2">
      <c r="B39" s="9" t="s">
        <v>34</v>
      </c>
      <c r="C39" s="11">
        <f t="shared" si="15"/>
        <v>0</v>
      </c>
      <c r="D39" s="11">
        <f t="shared" si="16"/>
        <v>0</v>
      </c>
      <c r="E39" s="11">
        <f t="shared" si="17"/>
        <v>0</v>
      </c>
      <c r="F39" s="11">
        <f t="shared" si="18"/>
        <v>0</v>
      </c>
      <c r="G39" s="11">
        <f t="shared" si="19"/>
        <v>0</v>
      </c>
      <c r="H39" s="11">
        <f t="shared" si="20"/>
        <v>0</v>
      </c>
      <c r="I39" s="20">
        <f>SUM(C39:H39)</f>
        <v>0</v>
      </c>
      <c r="J39" s="5" t="s">
        <v>16</v>
      </c>
      <c r="K39" s="21">
        <f t="shared" si="21"/>
        <v>0</v>
      </c>
    </row>
    <row r="40" spans="1:11" x14ac:dyDescent="0.2">
      <c r="B40" s="9" t="s">
        <v>35</v>
      </c>
      <c r="C40" s="11">
        <f t="shared" si="15"/>
        <v>0</v>
      </c>
      <c r="D40" s="11">
        <f t="shared" si="16"/>
        <v>0</v>
      </c>
      <c r="E40" s="11">
        <f t="shared" si="17"/>
        <v>0</v>
      </c>
      <c r="F40" s="11">
        <f t="shared" si="18"/>
        <v>1.6557753444012717</v>
      </c>
      <c r="G40" s="11">
        <f t="shared" si="19"/>
        <v>1.3687742847050512</v>
      </c>
      <c r="H40" s="11">
        <f t="shared" si="20"/>
        <v>1.3687742847050512</v>
      </c>
      <c r="I40" s="20">
        <f>SUM(C40:H40)</f>
        <v>4.3933239138113738</v>
      </c>
      <c r="J40" s="5" t="s">
        <v>16</v>
      </c>
      <c r="K40" s="21">
        <f t="shared" si="21"/>
        <v>13</v>
      </c>
    </row>
    <row r="41" spans="1:11" x14ac:dyDescent="0.2">
      <c r="C41" s="16"/>
      <c r="D41" s="16"/>
      <c r="E41" s="16"/>
      <c r="F41" s="16"/>
      <c r="G41" s="16"/>
      <c r="H41" s="16"/>
      <c r="I41" s="16"/>
    </row>
  </sheetData>
  <mergeCells count="5">
    <mergeCell ref="A35:B35"/>
    <mergeCell ref="A17:B17"/>
    <mergeCell ref="A1:B1"/>
    <mergeCell ref="A15:B15"/>
    <mergeCell ref="T8:W8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workbookViewId="0">
      <selection activeCell="E29" sqref="E29:F29"/>
    </sheetView>
  </sheetViews>
  <sheetFormatPr baseColWidth="10" defaultColWidth="8.6640625" defaultRowHeight="15" x14ac:dyDescent="0.2"/>
  <cols>
    <col min="1" max="1" width="19.83203125" style="5" customWidth="1"/>
    <col min="2" max="4" width="8.6640625" style="5" customWidth="1"/>
    <col min="5" max="5" width="17" style="5" bestFit="1" customWidth="1"/>
    <col min="6" max="6" width="11.5" bestFit="1" customWidth="1"/>
  </cols>
  <sheetData>
    <row r="1" spans="1:21" x14ac:dyDescent="0.2">
      <c r="A1" s="6" t="s">
        <v>29</v>
      </c>
      <c r="B1" s="6" t="s">
        <v>42</v>
      </c>
      <c r="C1" s="6" t="s">
        <v>43</v>
      </c>
      <c r="D1" s="6" t="s">
        <v>44</v>
      </c>
      <c r="E1" s="6" t="s">
        <v>45</v>
      </c>
    </row>
    <row r="2" spans="1:21" ht="16" x14ac:dyDescent="0.2">
      <c r="A2" s="6" t="s">
        <v>4</v>
      </c>
      <c r="B2" s="6">
        <v>260</v>
      </c>
      <c r="C2" s="6">
        <f>[1]Problem1!$M$21</f>
        <v>294.87</v>
      </c>
      <c r="D2" s="6">
        <f>B2/C2</f>
        <v>0.88174449757520257</v>
      </c>
      <c r="E2" s="43">
        <v>7</v>
      </c>
    </row>
    <row r="3" spans="1:21" ht="16" x14ac:dyDescent="0.2">
      <c r="A3" s="6" t="s">
        <v>5</v>
      </c>
      <c r="B3" s="6">
        <v>260</v>
      </c>
      <c r="C3" s="6">
        <f>[1]Problem1!$M$21</f>
        <v>294.87</v>
      </c>
      <c r="D3" s="6">
        <f t="shared" ref="D3:D7" si="0">B3/C3</f>
        <v>0.88174449757520257</v>
      </c>
      <c r="E3" s="43">
        <v>9</v>
      </c>
    </row>
    <row r="4" spans="1:21" ht="16" x14ac:dyDescent="0.2">
      <c r="A4" s="6" t="s">
        <v>6</v>
      </c>
      <c r="B4" s="6">
        <v>375</v>
      </c>
      <c r="C4" s="6">
        <f>[1]Problem1!$M$21</f>
        <v>294.87</v>
      </c>
      <c r="D4" s="6">
        <f t="shared" si="0"/>
        <v>1.2717468715026961</v>
      </c>
      <c r="E4" s="43">
        <v>7</v>
      </c>
    </row>
    <row r="5" spans="1:21" ht="16" x14ac:dyDescent="0.2">
      <c r="A5" s="6" t="s">
        <v>7</v>
      </c>
      <c r="B5" s="6">
        <v>375</v>
      </c>
      <c r="C5" s="6">
        <f>[1]Problem1!$M$21</f>
        <v>294.87</v>
      </c>
      <c r="D5" s="6">
        <f t="shared" si="0"/>
        <v>1.2717468715026961</v>
      </c>
      <c r="E5" s="43">
        <v>8</v>
      </c>
    </row>
    <row r="6" spans="1:21" ht="16" x14ac:dyDescent="0.2">
      <c r="A6" s="6" t="s">
        <v>8</v>
      </c>
      <c r="B6" s="6">
        <v>310</v>
      </c>
      <c r="C6" s="6">
        <f>[1]Problem1!$M$21</f>
        <v>294.87</v>
      </c>
      <c r="D6" s="6">
        <f t="shared" si="0"/>
        <v>1.0513107471088954</v>
      </c>
      <c r="E6" s="43">
        <v>12</v>
      </c>
    </row>
    <row r="7" spans="1:21" ht="16" x14ac:dyDescent="0.2">
      <c r="A7" s="6" t="s">
        <v>9</v>
      </c>
      <c r="B7" s="6">
        <v>310</v>
      </c>
      <c r="C7" s="6">
        <f>[1]Problem1!$M$21</f>
        <v>294.87</v>
      </c>
      <c r="D7" s="6">
        <f t="shared" si="0"/>
        <v>1.0513107471088954</v>
      </c>
      <c r="E7" s="43">
        <v>11</v>
      </c>
    </row>
    <row r="9" spans="1:21" x14ac:dyDescent="0.2">
      <c r="A9" s="6" t="s">
        <v>46</v>
      </c>
      <c r="B9" s="6" t="s">
        <v>47</v>
      </c>
      <c r="C9" s="6" t="s">
        <v>48</v>
      </c>
      <c r="D9" s="6" t="s">
        <v>49</v>
      </c>
      <c r="E9" s="6" t="s">
        <v>50</v>
      </c>
      <c r="F9" t="s">
        <v>51</v>
      </c>
      <c r="G9" s="6" t="s">
        <v>52</v>
      </c>
      <c r="H9" s="6" t="s">
        <v>4</v>
      </c>
      <c r="I9" s="6" t="s">
        <v>5</v>
      </c>
      <c r="J9" s="6" t="s">
        <v>6</v>
      </c>
      <c r="K9" s="6" t="s">
        <v>7</v>
      </c>
      <c r="L9" s="6" t="s">
        <v>8</v>
      </c>
      <c r="M9" s="6" t="s">
        <v>9</v>
      </c>
      <c r="O9" s="6" t="s">
        <v>52</v>
      </c>
      <c r="P9" s="6" t="s">
        <v>4</v>
      </c>
      <c r="Q9" s="6" t="s">
        <v>5</v>
      </c>
      <c r="R9" s="6" t="s">
        <v>6</v>
      </c>
      <c r="S9" s="6" t="s">
        <v>7</v>
      </c>
      <c r="T9" s="6" t="s">
        <v>8</v>
      </c>
      <c r="U9" s="6" t="s">
        <v>9</v>
      </c>
    </row>
    <row r="10" spans="1:21" ht="16" x14ac:dyDescent="0.2">
      <c r="A10" s="6" t="s">
        <v>4</v>
      </c>
      <c r="B10" s="6">
        <v>2000</v>
      </c>
      <c r="C10" s="6">
        <f>D2</f>
        <v>0.88174449757520257</v>
      </c>
      <c r="D10" s="6">
        <f>C10</f>
        <v>0.88174449757520257</v>
      </c>
      <c r="E10" s="43">
        <v>0</v>
      </c>
      <c r="F10">
        <f>B10*E10</f>
        <v>0</v>
      </c>
      <c r="H10">
        <v>1</v>
      </c>
      <c r="P10">
        <f>H10*$E10</f>
        <v>0</v>
      </c>
      <c r="Q10">
        <f t="shared" ref="Q10:U15" si="1">I10*$E10</f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</row>
    <row r="11" spans="1:21" ht="16" x14ac:dyDescent="0.2">
      <c r="A11" s="6" t="s">
        <v>5</v>
      </c>
      <c r="B11" s="6">
        <v>3500</v>
      </c>
      <c r="C11" s="6">
        <f t="shared" ref="C11:C15" si="2">D3</f>
        <v>0.88174449757520257</v>
      </c>
      <c r="D11" s="6">
        <f t="shared" ref="D11:D15" si="3">C11</f>
        <v>0.88174449757520257</v>
      </c>
      <c r="E11" s="43">
        <v>0</v>
      </c>
      <c r="F11">
        <f t="shared" ref="F11:F27" si="4">B11*E11</f>
        <v>0</v>
      </c>
      <c r="I11">
        <v>1</v>
      </c>
      <c r="P11">
        <f t="shared" ref="P11:P15" si="5">H11*$E11</f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</row>
    <row r="12" spans="1:21" ht="16" x14ac:dyDescent="0.2">
      <c r="A12" s="6" t="s">
        <v>6</v>
      </c>
      <c r="B12" s="6">
        <v>3500</v>
      </c>
      <c r="C12" s="6">
        <f t="shared" si="2"/>
        <v>1.2717468715026961</v>
      </c>
      <c r="D12" s="6">
        <f t="shared" si="3"/>
        <v>1.2717468715026961</v>
      </c>
      <c r="E12" s="43">
        <v>1</v>
      </c>
      <c r="F12">
        <f t="shared" si="4"/>
        <v>3500</v>
      </c>
      <c r="J12">
        <v>1</v>
      </c>
      <c r="P12">
        <f t="shared" si="5"/>
        <v>0</v>
      </c>
      <c r="Q12">
        <f t="shared" si="1"/>
        <v>0</v>
      </c>
      <c r="R12">
        <f t="shared" si="1"/>
        <v>1</v>
      </c>
      <c r="S12">
        <f t="shared" si="1"/>
        <v>0</v>
      </c>
      <c r="T12">
        <f t="shared" si="1"/>
        <v>0</v>
      </c>
      <c r="U12">
        <f t="shared" si="1"/>
        <v>0</v>
      </c>
    </row>
    <row r="13" spans="1:21" ht="16" x14ac:dyDescent="0.2">
      <c r="A13" s="6" t="s">
        <v>7</v>
      </c>
      <c r="B13" s="6">
        <v>2000</v>
      </c>
      <c r="C13" s="6">
        <f t="shared" si="2"/>
        <v>1.2717468715026961</v>
      </c>
      <c r="D13" s="6">
        <f t="shared" si="3"/>
        <v>1.2717468715026961</v>
      </c>
      <c r="E13" s="43">
        <v>0</v>
      </c>
      <c r="F13">
        <f t="shared" si="4"/>
        <v>0</v>
      </c>
      <c r="K13">
        <v>1</v>
      </c>
      <c r="P13">
        <f t="shared" si="5"/>
        <v>0</v>
      </c>
      <c r="Q13">
        <f t="shared" si="1"/>
        <v>0</v>
      </c>
      <c r="R13">
        <f t="shared" si="1"/>
        <v>0</v>
      </c>
      <c r="S13">
        <f t="shared" si="1"/>
        <v>0</v>
      </c>
      <c r="T13">
        <f t="shared" si="1"/>
        <v>0</v>
      </c>
      <c r="U13">
        <f t="shared" si="1"/>
        <v>0</v>
      </c>
    </row>
    <row r="14" spans="1:21" ht="16" x14ac:dyDescent="0.2">
      <c r="A14" s="6" t="s">
        <v>8</v>
      </c>
      <c r="B14" s="6">
        <v>3500</v>
      </c>
      <c r="C14" s="6">
        <f t="shared" si="2"/>
        <v>1.0513107471088954</v>
      </c>
      <c r="D14" s="6">
        <f t="shared" si="3"/>
        <v>1.0513107471088954</v>
      </c>
      <c r="E14" s="43">
        <v>1</v>
      </c>
      <c r="F14">
        <f t="shared" si="4"/>
        <v>3500</v>
      </c>
      <c r="L14">
        <v>1</v>
      </c>
      <c r="P14">
        <f t="shared" si="5"/>
        <v>0</v>
      </c>
      <c r="Q14">
        <f t="shared" si="1"/>
        <v>0</v>
      </c>
      <c r="R14">
        <f t="shared" si="1"/>
        <v>0</v>
      </c>
      <c r="S14">
        <f t="shared" si="1"/>
        <v>0</v>
      </c>
      <c r="T14">
        <f t="shared" si="1"/>
        <v>1</v>
      </c>
      <c r="U14">
        <f t="shared" si="1"/>
        <v>0</v>
      </c>
    </row>
    <row r="15" spans="1:21" ht="16" x14ac:dyDescent="0.2">
      <c r="A15" s="6" t="s">
        <v>9</v>
      </c>
      <c r="B15" s="6">
        <v>2000</v>
      </c>
      <c r="C15" s="6">
        <f t="shared" si="2"/>
        <v>1.0513107471088954</v>
      </c>
      <c r="D15" s="6">
        <f t="shared" si="3"/>
        <v>1.0513107471088954</v>
      </c>
      <c r="E15" s="43">
        <v>0</v>
      </c>
      <c r="F15">
        <f t="shared" si="4"/>
        <v>0</v>
      </c>
      <c r="M15">
        <v>1</v>
      </c>
      <c r="P15">
        <f t="shared" si="5"/>
        <v>0</v>
      </c>
      <c r="Q15">
        <f t="shared" si="1"/>
        <v>0</v>
      </c>
      <c r="R15">
        <f t="shared" si="1"/>
        <v>0</v>
      </c>
      <c r="S15">
        <f t="shared" si="1"/>
        <v>0</v>
      </c>
      <c r="T15">
        <f t="shared" si="1"/>
        <v>0</v>
      </c>
      <c r="U15">
        <f t="shared" si="1"/>
        <v>0</v>
      </c>
    </row>
    <row r="16" spans="1:21" x14ac:dyDescent="0.2">
      <c r="E16" s="5">
        <v>1.4245480497228133E+29</v>
      </c>
    </row>
    <row r="17" spans="1:21" x14ac:dyDescent="0.2">
      <c r="A17" s="6" t="s">
        <v>53</v>
      </c>
      <c r="B17" s="6" t="s">
        <v>47</v>
      </c>
      <c r="C17" s="6" t="s">
        <v>48</v>
      </c>
      <c r="D17" s="6" t="s">
        <v>49</v>
      </c>
      <c r="E17" s="6">
        <v>1.8585484601885026E+29</v>
      </c>
      <c r="G17" s="6" t="s">
        <v>52</v>
      </c>
      <c r="H17" s="6" t="s">
        <v>4</v>
      </c>
      <c r="I17" s="6" t="s">
        <v>5</v>
      </c>
      <c r="J17" s="6" t="s">
        <v>6</v>
      </c>
      <c r="K17" s="6" t="s">
        <v>7</v>
      </c>
      <c r="L17" s="6" t="s">
        <v>8</v>
      </c>
      <c r="M17" s="6" t="s">
        <v>9</v>
      </c>
      <c r="O17" s="6" t="s">
        <v>52</v>
      </c>
      <c r="P17" s="6" t="s">
        <v>4</v>
      </c>
      <c r="Q17" s="6" t="s">
        <v>5</v>
      </c>
      <c r="R17" s="6" t="s">
        <v>6</v>
      </c>
      <c r="S17" s="6" t="s">
        <v>7</v>
      </c>
      <c r="T17" s="6" t="s">
        <v>8</v>
      </c>
      <c r="U17" s="6" t="s">
        <v>9</v>
      </c>
    </row>
    <row r="18" spans="1:21" ht="16" x14ac:dyDescent="0.2">
      <c r="A18" s="6" t="s">
        <v>54</v>
      </c>
      <c r="B18" s="6">
        <v>3500</v>
      </c>
      <c r="C18" s="6">
        <f>C10+C11</f>
        <v>1.7634889951504051</v>
      </c>
      <c r="D18" s="6">
        <f>C18+0.5</f>
        <v>2.2634889951504054</v>
      </c>
      <c r="E18" s="43">
        <v>0</v>
      </c>
      <c r="F18">
        <f t="shared" si="4"/>
        <v>0</v>
      </c>
      <c r="H18">
        <v>1</v>
      </c>
      <c r="I18">
        <v>1</v>
      </c>
      <c r="P18">
        <f>H18*$E18</f>
        <v>0</v>
      </c>
      <c r="Q18">
        <f t="shared" ref="Q18:U27" si="6">I18*$E18</f>
        <v>0</v>
      </c>
      <c r="R18">
        <f t="shared" si="6"/>
        <v>0</v>
      </c>
      <c r="S18">
        <f t="shared" si="6"/>
        <v>0</v>
      </c>
      <c r="T18">
        <f t="shared" si="6"/>
        <v>0</v>
      </c>
      <c r="U18">
        <f t="shared" si="6"/>
        <v>0</v>
      </c>
    </row>
    <row r="19" spans="1:21" ht="16" x14ac:dyDescent="0.2">
      <c r="A19" s="6" t="s">
        <v>55</v>
      </c>
      <c r="B19" s="6">
        <v>3500</v>
      </c>
      <c r="C19" s="6">
        <f>C10+C12</f>
        <v>2.1534913690778987</v>
      </c>
      <c r="D19" s="6">
        <f>C19+0.5</f>
        <v>2.6534913690778987</v>
      </c>
      <c r="E19" s="43">
        <v>0</v>
      </c>
      <c r="F19">
        <f t="shared" si="4"/>
        <v>0</v>
      </c>
      <c r="H19">
        <v>1</v>
      </c>
      <c r="J19">
        <v>1</v>
      </c>
      <c r="P19">
        <f t="shared" ref="P19:P27" si="7">H19*$E19</f>
        <v>0</v>
      </c>
      <c r="Q19">
        <f t="shared" si="6"/>
        <v>0</v>
      </c>
      <c r="R19">
        <f t="shared" si="6"/>
        <v>0</v>
      </c>
      <c r="S19">
        <f t="shared" si="6"/>
        <v>0</v>
      </c>
      <c r="T19">
        <f t="shared" si="6"/>
        <v>0</v>
      </c>
      <c r="U19">
        <f t="shared" si="6"/>
        <v>0</v>
      </c>
    </row>
    <row r="20" spans="1:21" ht="16" x14ac:dyDescent="0.2">
      <c r="A20" s="6" t="s">
        <v>56</v>
      </c>
      <c r="B20" s="6">
        <v>3500</v>
      </c>
      <c r="C20" s="6">
        <f>C10+C14</f>
        <v>1.9330552446840978</v>
      </c>
      <c r="D20" s="6">
        <f>C20+0.5</f>
        <v>2.4330552446840978</v>
      </c>
      <c r="E20" s="43">
        <v>0</v>
      </c>
      <c r="F20">
        <f t="shared" si="4"/>
        <v>0</v>
      </c>
      <c r="H20">
        <v>1</v>
      </c>
      <c r="L20">
        <v>1</v>
      </c>
      <c r="P20">
        <f t="shared" si="7"/>
        <v>0</v>
      </c>
      <c r="Q20">
        <f t="shared" si="6"/>
        <v>0</v>
      </c>
      <c r="R20">
        <f t="shared" si="6"/>
        <v>0</v>
      </c>
      <c r="S20">
        <f t="shared" si="6"/>
        <v>0</v>
      </c>
      <c r="T20">
        <f t="shared" si="6"/>
        <v>0</v>
      </c>
      <c r="U20">
        <f t="shared" si="6"/>
        <v>0</v>
      </c>
    </row>
    <row r="21" spans="1:21" ht="16" x14ac:dyDescent="0.2">
      <c r="A21" s="6" t="s">
        <v>57</v>
      </c>
      <c r="B21" s="6">
        <v>2000</v>
      </c>
      <c r="C21" s="6">
        <f>C10+C11</f>
        <v>1.7634889951504051</v>
      </c>
      <c r="D21" s="6">
        <f t="shared" ref="D21:D27" si="8">C21+0.5</f>
        <v>2.2634889951504054</v>
      </c>
      <c r="E21" s="43">
        <v>7.0000000000000009</v>
      </c>
      <c r="F21">
        <f t="shared" si="4"/>
        <v>14000.000000000002</v>
      </c>
      <c r="H21">
        <v>1</v>
      </c>
      <c r="I21">
        <v>1</v>
      </c>
      <c r="P21">
        <f t="shared" si="7"/>
        <v>7.0000000000000009</v>
      </c>
      <c r="Q21">
        <f t="shared" si="6"/>
        <v>7.0000000000000009</v>
      </c>
      <c r="R21">
        <f t="shared" si="6"/>
        <v>0</v>
      </c>
      <c r="S21">
        <f t="shared" si="6"/>
        <v>0</v>
      </c>
      <c r="T21">
        <f t="shared" si="6"/>
        <v>0</v>
      </c>
      <c r="U21">
        <f t="shared" si="6"/>
        <v>0</v>
      </c>
    </row>
    <row r="22" spans="1:21" ht="16" x14ac:dyDescent="0.2">
      <c r="A22" s="6" t="s">
        <v>58</v>
      </c>
      <c r="B22" s="6">
        <v>2000</v>
      </c>
      <c r="C22" s="6">
        <f>C12+C13</f>
        <v>2.5434937430053921</v>
      </c>
      <c r="D22" s="6">
        <f t="shared" si="8"/>
        <v>3.0434937430053921</v>
      </c>
      <c r="E22" s="43">
        <v>0</v>
      </c>
      <c r="F22">
        <f t="shared" si="4"/>
        <v>0</v>
      </c>
      <c r="J22">
        <v>1</v>
      </c>
      <c r="K22">
        <v>1</v>
      </c>
      <c r="P22">
        <f t="shared" si="7"/>
        <v>0</v>
      </c>
      <c r="Q22">
        <f t="shared" si="6"/>
        <v>0</v>
      </c>
      <c r="R22">
        <f t="shared" si="6"/>
        <v>0</v>
      </c>
      <c r="S22">
        <f t="shared" si="6"/>
        <v>0</v>
      </c>
      <c r="T22">
        <f t="shared" si="6"/>
        <v>0</v>
      </c>
      <c r="U22">
        <f t="shared" si="6"/>
        <v>0</v>
      </c>
    </row>
    <row r="23" spans="1:21" ht="16" x14ac:dyDescent="0.2">
      <c r="A23" s="6" t="s">
        <v>59</v>
      </c>
      <c r="B23" s="6">
        <v>3500</v>
      </c>
      <c r="C23" s="6">
        <f>C13+C11</f>
        <v>2.1534913690778987</v>
      </c>
      <c r="D23" s="6">
        <f t="shared" si="8"/>
        <v>2.6534913690778987</v>
      </c>
      <c r="E23" s="43">
        <v>2</v>
      </c>
      <c r="F23">
        <f t="shared" si="4"/>
        <v>7000</v>
      </c>
      <c r="I23">
        <v>1</v>
      </c>
      <c r="K23">
        <v>1</v>
      </c>
      <c r="P23">
        <f t="shared" si="7"/>
        <v>0</v>
      </c>
      <c r="Q23">
        <f t="shared" si="6"/>
        <v>2</v>
      </c>
      <c r="R23">
        <f t="shared" si="6"/>
        <v>0</v>
      </c>
      <c r="S23">
        <f t="shared" si="6"/>
        <v>2</v>
      </c>
      <c r="T23">
        <f t="shared" si="6"/>
        <v>0</v>
      </c>
      <c r="U23">
        <f t="shared" si="6"/>
        <v>0</v>
      </c>
    </row>
    <row r="24" spans="1:21" ht="16" x14ac:dyDescent="0.2">
      <c r="A24" s="6" t="s">
        <v>60</v>
      </c>
      <c r="B24" s="6">
        <v>3500</v>
      </c>
      <c r="C24" s="6">
        <f>C12+C13</f>
        <v>2.5434937430053921</v>
      </c>
      <c r="D24" s="6">
        <f t="shared" si="8"/>
        <v>3.0434937430053921</v>
      </c>
      <c r="E24" s="43">
        <v>6.0000000000000009</v>
      </c>
      <c r="F24">
        <f t="shared" si="4"/>
        <v>21000.000000000004</v>
      </c>
      <c r="J24">
        <v>1</v>
      </c>
      <c r="K24">
        <v>1</v>
      </c>
      <c r="P24">
        <f t="shared" si="7"/>
        <v>0</v>
      </c>
      <c r="Q24">
        <f t="shared" si="6"/>
        <v>0</v>
      </c>
      <c r="R24">
        <f t="shared" si="6"/>
        <v>6.0000000000000009</v>
      </c>
      <c r="S24">
        <f t="shared" si="6"/>
        <v>6.0000000000000009</v>
      </c>
      <c r="T24">
        <f t="shared" si="6"/>
        <v>0</v>
      </c>
      <c r="U24">
        <f t="shared" si="6"/>
        <v>0</v>
      </c>
    </row>
    <row r="25" spans="1:21" ht="16" x14ac:dyDescent="0.2">
      <c r="A25" s="6" t="s">
        <v>61</v>
      </c>
      <c r="B25" s="6">
        <v>3500</v>
      </c>
      <c r="C25" s="6">
        <f>C13+C14</f>
        <v>2.3230576186115917</v>
      </c>
      <c r="D25" s="6">
        <f t="shared" si="8"/>
        <v>2.8230576186115917</v>
      </c>
      <c r="E25" s="43">
        <v>0</v>
      </c>
      <c r="F25">
        <f t="shared" si="4"/>
        <v>0</v>
      </c>
      <c r="K25">
        <v>1</v>
      </c>
      <c r="L25">
        <v>1</v>
      </c>
      <c r="P25">
        <f t="shared" si="7"/>
        <v>0</v>
      </c>
      <c r="Q25">
        <f t="shared" si="6"/>
        <v>0</v>
      </c>
      <c r="R25">
        <f t="shared" si="6"/>
        <v>0</v>
      </c>
      <c r="S25">
        <f t="shared" si="6"/>
        <v>0</v>
      </c>
      <c r="T25">
        <f t="shared" si="6"/>
        <v>0</v>
      </c>
      <c r="U25">
        <f t="shared" si="6"/>
        <v>0</v>
      </c>
    </row>
    <row r="26" spans="1:21" ht="16" x14ac:dyDescent="0.2">
      <c r="A26" s="6" t="s">
        <v>62</v>
      </c>
      <c r="B26" s="6">
        <v>2000</v>
      </c>
      <c r="C26" s="6">
        <f>C14+C15</f>
        <v>2.1026214942177908</v>
      </c>
      <c r="D26" s="6">
        <f t="shared" si="8"/>
        <v>2.6026214942177908</v>
      </c>
      <c r="E26" s="43">
        <v>0</v>
      </c>
      <c r="F26">
        <f t="shared" si="4"/>
        <v>0</v>
      </c>
      <c r="L26">
        <v>1</v>
      </c>
      <c r="M26">
        <v>1</v>
      </c>
      <c r="P26">
        <f t="shared" si="7"/>
        <v>0</v>
      </c>
      <c r="Q26">
        <f t="shared" si="6"/>
        <v>0</v>
      </c>
      <c r="R26">
        <f t="shared" si="6"/>
        <v>0</v>
      </c>
      <c r="S26">
        <f t="shared" si="6"/>
        <v>0</v>
      </c>
      <c r="T26">
        <f t="shared" si="6"/>
        <v>0</v>
      </c>
      <c r="U26">
        <f t="shared" si="6"/>
        <v>0</v>
      </c>
    </row>
    <row r="27" spans="1:21" ht="16" x14ac:dyDescent="0.2">
      <c r="A27" s="6" t="s">
        <v>63</v>
      </c>
      <c r="B27" s="6">
        <v>3500</v>
      </c>
      <c r="C27" s="6">
        <f>C14+C15</f>
        <v>2.1026214942177908</v>
      </c>
      <c r="D27" s="6">
        <f t="shared" si="8"/>
        <v>2.6026214942177908</v>
      </c>
      <c r="E27" s="43">
        <v>10.999999999999993</v>
      </c>
      <c r="F27">
        <f t="shared" si="4"/>
        <v>38499.999999999978</v>
      </c>
      <c r="L27">
        <v>1</v>
      </c>
      <c r="M27">
        <v>1</v>
      </c>
      <c r="P27">
        <f t="shared" si="7"/>
        <v>0</v>
      </c>
      <c r="Q27">
        <f t="shared" si="6"/>
        <v>0</v>
      </c>
      <c r="R27">
        <f t="shared" si="6"/>
        <v>0</v>
      </c>
      <c r="S27">
        <f t="shared" si="6"/>
        <v>0</v>
      </c>
      <c r="T27">
        <f t="shared" si="6"/>
        <v>10.999999999999993</v>
      </c>
      <c r="U27">
        <f t="shared" si="6"/>
        <v>10.999999999999993</v>
      </c>
    </row>
    <row r="28" spans="1:21" x14ac:dyDescent="0.2">
      <c r="O28" s="6" t="s">
        <v>52</v>
      </c>
      <c r="P28" s="6" t="s">
        <v>4</v>
      </c>
      <c r="Q28" s="6" t="s">
        <v>5</v>
      </c>
      <c r="R28" s="6" t="s">
        <v>6</v>
      </c>
      <c r="S28" s="6" t="s">
        <v>7</v>
      </c>
      <c r="T28" s="6" t="s">
        <v>8</v>
      </c>
      <c r="U28" s="6" t="s">
        <v>9</v>
      </c>
    </row>
    <row r="29" spans="1:21" x14ac:dyDescent="0.2">
      <c r="E29" s="44" t="s">
        <v>51</v>
      </c>
      <c r="F29" s="45">
        <f>SUM(F10:F27)</f>
        <v>87499.999999999971</v>
      </c>
      <c r="O29" t="s">
        <v>64</v>
      </c>
      <c r="P29">
        <f>SUM(P18:P27)+SUM(P10:P15)</f>
        <v>7.0000000000000009</v>
      </c>
      <c r="Q29">
        <f t="shared" ref="Q29:U29" si="9">SUM(Q18:Q27)+SUM(Q10:Q15)</f>
        <v>9</v>
      </c>
      <c r="R29">
        <f t="shared" si="9"/>
        <v>7.0000000000000009</v>
      </c>
      <c r="S29">
        <f t="shared" si="9"/>
        <v>8</v>
      </c>
      <c r="T29">
        <f t="shared" si="9"/>
        <v>11.999999999999993</v>
      </c>
      <c r="U29">
        <f t="shared" si="9"/>
        <v>10.999999999999993</v>
      </c>
    </row>
    <row r="30" spans="1:21" ht="17" thickBot="1" x14ac:dyDescent="0.25">
      <c r="O30" t="s">
        <v>65</v>
      </c>
      <c r="P30" s="10">
        <v>7</v>
      </c>
      <c r="Q30" s="10">
        <v>9</v>
      </c>
      <c r="R30" s="10">
        <v>7</v>
      </c>
      <c r="S30" s="10">
        <v>8</v>
      </c>
      <c r="T30" s="10">
        <v>12</v>
      </c>
      <c r="U30" s="10">
        <v>11</v>
      </c>
    </row>
    <row r="31" spans="1:21" ht="16" thickBot="1" x14ac:dyDescent="0.25">
      <c r="B31" s="46" t="s">
        <v>66</v>
      </c>
      <c r="C31" s="47"/>
      <c r="D31" s="47"/>
      <c r="E31" s="48">
        <f>SUM(E18:E27)+SUM(E10:E15)</f>
        <v>27.999999999999993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Problem1</vt:lpstr>
      <vt:lpstr>Problem 2</vt:lpstr>
      <vt:lpstr>demand</vt:lpstr>
      <vt:lpstr>Fare</vt:lpstr>
    </vt:vector>
  </TitlesOfParts>
  <Manager/>
  <Company>Virginia 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Trani</dc:creator>
  <cp:keywords/>
  <dc:description/>
  <cp:lastModifiedBy>Trani, Antonio</cp:lastModifiedBy>
  <dcterms:created xsi:type="dcterms:W3CDTF">2008-01-08T15:05:39Z</dcterms:created>
  <dcterms:modified xsi:type="dcterms:W3CDTF">2023-05-01T14:55:53Z</dcterms:modified>
  <cp:category/>
</cp:coreProperties>
</file>